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/>
  <mc:AlternateContent xmlns:mc="http://schemas.openxmlformats.org/markup-compatibility/2006">
    <mc:Choice Requires="x15">
      <x15ac:absPath xmlns:x15ac="http://schemas.microsoft.com/office/spreadsheetml/2010/11/ac" url="/Users/rachelmawhirter/Marketing Maven Dropbox/SurePoint Ag Systems/Websites/SurePoint Ag Website/Media/Sentinel/"/>
    </mc:Choice>
  </mc:AlternateContent>
  <xr:revisionPtr revIDLastSave="0" documentId="8_{5DDA6333-34DD-4343-AB41-24B17CE4ADEF}" xr6:coauthVersionLast="47" xr6:coauthVersionMax="47" xr10:uidLastSave="{00000000-0000-0000-0000-000000000000}"/>
  <bookViews>
    <workbookView xWindow="420" yWindow="1920" windowWidth="27480" windowHeight="18700" activeTab="1" xr2:uid="{BC3FC71F-447A-4E8E-844E-C3FBB9AAA7FE}"/>
  </bookViews>
  <sheets>
    <sheet name="ROI Calculator - Time" sheetId="1" r:id="rId1"/>
    <sheet name="ROI Calculator - Acre (2)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0" i="5" l="1"/>
  <c r="E39" i="5"/>
  <c r="H35" i="5"/>
  <c r="H36" i="5" s="1"/>
  <c r="E27" i="5"/>
  <c r="H25" i="5"/>
  <c r="H26" i="5" s="1"/>
  <c r="H27" i="5" s="1"/>
  <c r="E33" i="5" s="1"/>
  <c r="E25" i="5"/>
  <c r="E26" i="5" s="1"/>
  <c r="E17" i="1"/>
  <c r="F15" i="1"/>
  <c r="G15" i="1" s="1"/>
  <c r="E15" i="1" s="1"/>
  <c r="E47" i="1"/>
  <c r="E44" i="1"/>
  <c r="J36" i="1"/>
  <c r="E28" i="1"/>
  <c r="E33" i="1" s="1"/>
  <c r="F11" i="1"/>
  <c r="G11" i="1" s="1"/>
  <c r="E28" i="5" l="1"/>
  <c r="E29" i="5" s="1"/>
  <c r="E32" i="5" s="1"/>
  <c r="E34" i="5" s="1"/>
  <c r="E35" i="1"/>
  <c r="E19" i="1"/>
  <c r="E23" i="1" s="1"/>
  <c r="E36" i="5" l="1"/>
  <c r="H39" i="5" s="1"/>
  <c r="E35" i="5"/>
  <c r="E24" i="1"/>
  <c r="E37" i="1" s="1"/>
  <c r="E39" i="1" s="1"/>
  <c r="H40" i="5" l="1"/>
  <c r="H41" i="5"/>
  <c r="E42" i="1"/>
  <c r="E48" i="1" s="1"/>
  <c r="E49" i="1"/>
  <c r="E45" i="1" l="1"/>
</calcChain>
</file>

<file path=xl/sharedStrings.xml><?xml version="1.0" encoding="utf-8"?>
<sst xmlns="http://schemas.openxmlformats.org/spreadsheetml/2006/main" count="109" uniqueCount="102">
  <si>
    <t xml:space="preserve">Orchard Sprayer Payback Calculator </t>
  </si>
  <si>
    <t>Sentinel 1000 Rate Control &amp; Plumbing Kit + John Deere Precision Essentials Kit with Orchard Mode</t>
  </si>
  <si>
    <t>End of Row Overspray Loss</t>
  </si>
  <si>
    <t>Enter Rate, Turn Radius, Spray width, Field Size, Row Length and Chemical Cost</t>
  </si>
  <si>
    <t>Rate (gallons per acre)</t>
  </si>
  <si>
    <t># Times field sprayed per year</t>
  </si>
  <si>
    <t>Turn radius (ft.)</t>
  </si>
  <si>
    <t>Avg. Field size (Acres)</t>
  </si>
  <si>
    <t>Spray width (ft.)</t>
  </si>
  <si>
    <t>Average Lane Length (ft.)</t>
  </si>
  <si>
    <t>1/8 mile = 660ft; 1/4 mile = 1,320ft; 1/2 mile = 2,640ft.</t>
  </si>
  <si>
    <t>Number of turns</t>
  </si>
  <si>
    <t xml:space="preserve">Chemical cost per/acre/application </t>
  </si>
  <si>
    <t>Total Cost (per acre)</t>
  </si>
  <si>
    <t>Total Turn Acres</t>
  </si>
  <si>
    <t>% of time not turned off</t>
  </si>
  <si>
    <t>Potential Chemical Loss at 100%</t>
  </si>
  <si>
    <t xml:space="preserve">Loss of Chemical </t>
  </si>
  <si>
    <t>Row Double Spray Loss</t>
  </si>
  <si>
    <t>Enter Number of Rows being Double Sprayed</t>
  </si>
  <si>
    <t># of Rows being Double Sprayed</t>
  </si>
  <si>
    <t>Speed Variation Effect</t>
  </si>
  <si>
    <t>Equipment cost per acre</t>
  </si>
  <si>
    <t>Target Speed (MPH)</t>
  </si>
  <si>
    <t>Acres Sprayed Multiple Times</t>
  </si>
  <si>
    <t>Actual Speed (MPH)</t>
  </si>
  <si>
    <t>Loss of Chemical due to Row Overspray</t>
  </si>
  <si>
    <t>%  Off Target</t>
  </si>
  <si>
    <t>(Positive = over applying)</t>
  </si>
  <si>
    <t>End Row Overspray</t>
  </si>
  <si>
    <t>(Negative = under applying)</t>
  </si>
  <si>
    <t xml:space="preserve">Total Loss </t>
  </si>
  <si>
    <t>Customer Total Acres</t>
  </si>
  <si>
    <t>Total Loss Across Acres</t>
  </si>
  <si>
    <t>Equipment Cost year one</t>
  </si>
  <si>
    <t>*Cost Per Unit</t>
  </si>
  <si>
    <t>Number of Machines</t>
  </si>
  <si>
    <t>Years for ROI</t>
  </si>
  <si>
    <t>Cost Includes: Sentinel Rate Controller, Precision Essentials hardware, licenses, and installation.</t>
  </si>
  <si>
    <t>**Annual License Fee per unit</t>
  </si>
  <si>
    <t>*Actual cost per unit will vary based on the type of blast sprayer being equipped.
**The initial price includes two years of license fees; renewals begin in year three.</t>
  </si>
  <si>
    <t>Total annual fee for all units</t>
  </si>
  <si>
    <t>Annual Fee Days per unit for ROI</t>
  </si>
  <si>
    <t>Acres for ROI</t>
  </si>
  <si>
    <t>🌳 Orchard Sprayer ROI Calculator</t>
  </si>
  <si>
    <t>Sentinel 1000 + John Deere Precision Essentials Kit</t>
  </si>
  <si>
    <t>📥 INPUTS (Edit Yellow Cells)</t>
  </si>
  <si>
    <t>SPRAYER SETTINGS</t>
  </si>
  <si>
    <t>FIELD INFORMATION</t>
  </si>
  <si>
    <t>Rate (gallons/acre)</t>
  </si>
  <si>
    <t>Avg. Field Size (acres)</t>
  </si>
  <si>
    <t>Turn Radius (ft)</t>
  </si>
  <si>
    <t>Avg. Lane Length (ft)</t>
  </si>
  <si>
    <t>Spray Width (ft)</t>
  </si>
  <si>
    <t>Times Sprayed per Year</t>
  </si>
  <si>
    <t xml:space="preserve"> </t>
  </si>
  <si>
    <t>% of Time NOT Turned Off</t>
  </si>
  <si>
    <t>Chemical Cost ($/acre/app)</t>
  </si>
  <si>
    <t># Rows Double Sprayed</t>
  </si>
  <si>
    <t>Equipment Cost ($/acre)</t>
  </si>
  <si>
    <t>EQUIPMENT &amp; INPUT COST INFORMATION</t>
  </si>
  <si>
    <t>QUICK REFERENCE</t>
  </si>
  <si>
    <t>1/8 mile =</t>
  </si>
  <si>
    <t>660 ft</t>
  </si>
  <si>
    <t>1/4 mile =</t>
  </si>
  <si>
    <t>1,320 ft</t>
  </si>
  <si>
    <t>Annual License Fee/Unit ($) Year 3+</t>
  </si>
  <si>
    <t>1/2 mile =</t>
  </si>
  <si>
    <t>2,640 ft</t>
  </si>
  <si>
    <t>Cost Per Unit</t>
  </si>
  <si>
    <t>1 mile =</t>
  </si>
  <si>
    <t>5,280 ft</t>
  </si>
  <si>
    <t>🔢 CALCULATIONS</t>
  </si>
  <si>
    <t>END OF ROW OVERSPRAY</t>
  </si>
  <si>
    <t>ROW DOUBLE SPRAY</t>
  </si>
  <si>
    <t>Area per Pass (acres)</t>
  </si>
  <si>
    <t>Acres per Row</t>
  </si>
  <si>
    <t>Number of Turns</t>
  </si>
  <si>
    <t>Acres Double Sprayed</t>
  </si>
  <si>
    <t>Turn Arc (acres)</t>
  </si>
  <si>
    <t>Row Overspray Loss</t>
  </si>
  <si>
    <t>End Row Chemical Loss</t>
  </si>
  <si>
    <t>💰 LOSS SUMMARY</t>
  </si>
  <si>
    <t>End Row Overspray Loss</t>
  </si>
  <si>
    <t>SPEED VARIATION</t>
  </si>
  <si>
    <t>TOTAL LOSS (per field/year)</t>
  </si>
  <si>
    <t>Savings per Acre</t>
  </si>
  <si>
    <t>% Off Target</t>
  </si>
  <si>
    <t>Total Savings (all acres/year)</t>
  </si>
  <si>
    <t>Status:</t>
  </si>
  <si>
    <t>📈 ROI RESULTS</t>
  </si>
  <si>
    <t>Equipment Cost (Year 1)includes 2yr license</t>
  </si>
  <si>
    <t>⭐ YEARS FOR ROI</t>
  </si>
  <si>
    <t>Total Annual License Fee (year 3 +)</t>
  </si>
  <si>
    <t>⭐ ACRES FOR ROI</t>
  </si>
  <si>
    <t>⭐ ACRES FOR License ROI (year 3 +)</t>
  </si>
  <si>
    <t>📝 NOTES</t>
  </si>
  <si>
    <t>• Lane Length Guide: 1/8 mi = 660ft | 1/4 mi = 1,320ft | 1/2 mi = 2,640ft</t>
  </si>
  <si>
    <t>• Cost per unit varies based on blast sprayer type</t>
  </si>
  <si>
    <t>• Initial price includes 2 years of license fees; renewals begin year 3</t>
  </si>
  <si>
    <t>• Speed Variation not figured in calculation</t>
  </si>
  <si>
    <r>
      <t xml:space="preserve">• </t>
    </r>
    <r>
      <rPr>
        <i/>
        <sz val="9"/>
        <color rgb="FFFFFDE7"/>
        <rFont val="Aptos Narrow"/>
        <family val="2"/>
        <scheme val="minor"/>
      </rPr>
      <t>🟨</t>
    </r>
    <r>
      <rPr>
        <i/>
        <sz val="9"/>
        <color theme="1"/>
        <rFont val="Aptos Narrow"/>
        <family val="2"/>
        <scheme val="minor"/>
      </rPr>
      <t xml:space="preserve"> Yellow cells = INPUTS - adjust these to see ROI changes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</si>
</sst>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44" formatCode="_(&quot;$&quot;* #,##0.00_);_(&quot;$&quot;* \(#,##0.00\);_(&quot;$&quot;* &quot;-&quot;??_);_(@_)"/>
    <numFmt numFmtId="164" formatCode="&quot;$&quot;#,##0"/>
    <numFmt numFmtId="165" formatCode="0.0"/>
    <numFmt numFmtId="166" formatCode="0.000"/>
    <numFmt numFmtId="167" formatCode="&quot;$&quot;#,##0.00"/>
    <numFmt numFmtId="168" formatCode="0.0%"/>
  </numFmts>
  <fonts count="2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4"/>
      <color rgb="FFFF0000"/>
      <name val="Arial"/>
      <family val="2"/>
    </font>
    <font>
      <b/>
      <sz val="14"/>
      <color theme="1"/>
      <name val="Aptos Narrow"/>
      <family val="2"/>
      <scheme val="minor"/>
    </font>
    <font>
      <i/>
      <sz val="12"/>
      <color theme="1"/>
      <name val="Arial"/>
      <family val="2"/>
    </font>
    <font>
      <b/>
      <u/>
      <sz val="16"/>
      <color theme="1"/>
      <name val="Arial"/>
      <family val="2"/>
    </font>
    <font>
      <i/>
      <sz val="14"/>
      <color theme="1"/>
      <name val="Arial"/>
      <family val="2"/>
    </font>
    <font>
      <i/>
      <u/>
      <sz val="14"/>
      <color theme="1"/>
      <name val="Arial"/>
      <family val="2"/>
    </font>
    <font>
      <b/>
      <sz val="14"/>
      <color theme="0"/>
      <name val="Arial"/>
      <family val="2"/>
    </font>
    <font>
      <sz val="14"/>
      <color rgb="FF000000"/>
      <name val="Arial"/>
      <family val="2"/>
    </font>
    <font>
      <i/>
      <u/>
      <sz val="12"/>
      <color theme="1"/>
      <name val="Arial"/>
      <family val="2"/>
    </font>
    <font>
      <b/>
      <u/>
      <sz val="18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ptos Narrow"/>
      <family val="2"/>
      <scheme val="minor"/>
    </font>
    <font>
      <b/>
      <sz val="18"/>
      <color rgb="FFFFFFFF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9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i/>
      <sz val="10"/>
      <color rgb="FF888888"/>
      <name val="Aptos Narrow"/>
      <family val="2"/>
      <scheme val="minor"/>
    </font>
    <font>
      <i/>
      <sz val="6"/>
      <color theme="1"/>
      <name val="Arial"/>
      <family val="2"/>
    </font>
    <font>
      <b/>
      <sz val="12"/>
      <color theme="1"/>
      <name val="Aptos Narrow"/>
      <family val="2"/>
      <scheme val="minor"/>
    </font>
    <font>
      <b/>
      <i/>
      <sz val="9"/>
      <color theme="1"/>
      <name val="Aptos Narrow"/>
      <family val="2"/>
      <scheme val="minor"/>
    </font>
    <font>
      <i/>
      <sz val="9"/>
      <color rgb="FFFFFDE7"/>
      <name val="Aptos Narrow"/>
      <family val="2"/>
      <scheme val="minor"/>
    </font>
    <font>
      <b/>
      <sz val="11"/>
      <color rgb="FFC00000"/>
      <name val="Aptos Narrow"/>
      <family val="2"/>
      <scheme val="minor"/>
    </font>
    <font>
      <b/>
      <sz val="11"/>
      <color theme="9" tint="-0.499984740745262"/>
      <name val="Aptos Narrow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2E7D32"/>
        <bgColor indexed="64"/>
      </patternFill>
    </fill>
    <fill>
      <patternFill patternType="solid">
        <fgColor rgb="FF1976D2"/>
        <bgColor indexed="64"/>
      </patternFill>
    </fill>
    <fill>
      <patternFill patternType="solid">
        <fgColor rgb="FFBBDEFB"/>
        <bgColor indexed="64"/>
      </patternFill>
    </fill>
    <fill>
      <patternFill patternType="solid">
        <fgColor rgb="FFFFFDE7"/>
        <bgColor indexed="64"/>
      </patternFill>
    </fill>
    <fill>
      <patternFill patternType="solid">
        <fgColor rgb="FF7B1FA2"/>
        <bgColor indexed="64"/>
      </patternFill>
    </fill>
    <fill>
      <patternFill patternType="solid">
        <fgColor rgb="FFE1BEE7"/>
        <bgColor indexed="64"/>
      </patternFill>
    </fill>
    <fill>
      <patternFill patternType="solid">
        <fgColor rgb="FFD32F2F"/>
        <bgColor indexed="64"/>
      </patternFill>
    </fill>
    <fill>
      <patternFill patternType="solid">
        <fgColor rgb="FFFFCDD2"/>
        <bgColor indexed="64"/>
      </patternFill>
    </fill>
    <fill>
      <patternFill patternType="solid">
        <fgColor rgb="FF388E3C"/>
        <bgColor indexed="64"/>
      </patternFill>
    </fill>
    <fill>
      <patternFill patternType="solid">
        <fgColor rgb="FF75757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3999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6">
    <xf numFmtId="0" fontId="0" fillId="0" borderId="0" xfId="0"/>
    <xf numFmtId="0" fontId="2" fillId="0" borderId="0" xfId="0" applyFont="1"/>
    <xf numFmtId="0" fontId="3" fillId="0" borderId="0" xfId="0" applyFont="1"/>
    <xf numFmtId="44" fontId="3" fillId="0" borderId="0" xfId="1" applyFont="1" applyBorder="1"/>
    <xf numFmtId="44" fontId="4" fillId="0" borderId="0" xfId="1" applyFont="1" applyBorder="1"/>
    <xf numFmtId="0" fontId="3" fillId="0" borderId="3" xfId="0" applyFont="1" applyBorder="1"/>
    <xf numFmtId="0" fontId="2" fillId="0" borderId="3" xfId="0" applyFont="1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2" fillId="0" borderId="8" xfId="0" applyFont="1" applyBorder="1"/>
    <xf numFmtId="0" fontId="3" fillId="0" borderId="0" xfId="0" applyFont="1" applyAlignment="1">
      <alignment horizontal="center"/>
    </xf>
    <xf numFmtId="0" fontId="7" fillId="0" borderId="0" xfId="0" applyFont="1"/>
    <xf numFmtId="0" fontId="3" fillId="0" borderId="0" xfId="0" applyFont="1" applyAlignment="1">
      <alignment horizontal="center" vertical="center"/>
    </xf>
    <xf numFmtId="0" fontId="10" fillId="4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10" fillId="3" borderId="0" xfId="0" applyFont="1" applyFill="1" applyAlignment="1">
      <alignment vertical="center"/>
    </xf>
    <xf numFmtId="0" fontId="2" fillId="0" borderId="0" xfId="0" applyFont="1" applyAlignment="1">
      <alignment horizontal="right"/>
    </xf>
    <xf numFmtId="1" fontId="3" fillId="0" borderId="0" xfId="0" applyNumberFormat="1" applyFont="1" applyAlignment="1">
      <alignment horizontal="center"/>
    </xf>
    <xf numFmtId="164" fontId="3" fillId="0" borderId="0" xfId="1" applyNumberFormat="1" applyFont="1" applyBorder="1" applyAlignment="1">
      <alignment horizontal="center"/>
    </xf>
    <xf numFmtId="2" fontId="3" fillId="0" borderId="0" xfId="0" applyNumberFormat="1" applyFont="1" applyAlignment="1">
      <alignment horizontal="center"/>
    </xf>
    <xf numFmtId="164" fontId="5" fillId="0" borderId="0" xfId="0" applyNumberFormat="1" applyFont="1"/>
    <xf numFmtId="0" fontId="2" fillId="0" borderId="0" xfId="0" applyFont="1" applyAlignment="1">
      <alignment horizontal="right" wrapText="1"/>
    </xf>
    <xf numFmtId="44" fontId="2" fillId="0" borderId="0" xfId="1" applyFont="1" applyBorder="1" applyAlignment="1">
      <alignment horizontal="right" wrapText="1"/>
    </xf>
    <xf numFmtId="0" fontId="2" fillId="0" borderId="0" xfId="0" applyFont="1" applyAlignment="1">
      <alignment horizontal="right" vertical="center" wrapText="1"/>
    </xf>
    <xf numFmtId="44" fontId="3" fillId="2" borderId="0" xfId="0" applyNumberFormat="1" applyFont="1" applyFill="1" applyAlignment="1">
      <alignment vertical="center"/>
    </xf>
    <xf numFmtId="0" fontId="4" fillId="0" borderId="0" xfId="0" applyFont="1"/>
    <xf numFmtId="9" fontId="3" fillId="2" borderId="0" xfId="0" applyNumberFormat="1" applyFont="1" applyFill="1" applyAlignment="1">
      <alignment horizontal="center" vertical="center"/>
    </xf>
    <xf numFmtId="0" fontId="6" fillId="0" borderId="0" xfId="0" applyFont="1"/>
    <xf numFmtId="0" fontId="2" fillId="0" borderId="0" xfId="0" applyFont="1" applyAlignment="1">
      <alignment horizontal="right" vertical="center"/>
    </xf>
    <xf numFmtId="44" fontId="3" fillId="2" borderId="0" xfId="0" applyNumberFormat="1" applyFont="1" applyFill="1"/>
    <xf numFmtId="6" fontId="3" fillId="0" borderId="0" xfId="0" applyNumberFormat="1" applyFont="1" applyAlignment="1">
      <alignment horizontal="center"/>
    </xf>
    <xf numFmtId="166" fontId="3" fillId="0" borderId="0" xfId="0" applyNumberFormat="1" applyFont="1" applyAlignment="1">
      <alignment horizontal="center"/>
    </xf>
    <xf numFmtId="165" fontId="3" fillId="5" borderId="0" xfId="0" applyNumberFormat="1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44" fontId="3" fillId="5" borderId="0" xfId="1" applyFont="1" applyFill="1" applyBorder="1" applyAlignment="1">
      <alignment horizontal="center"/>
    </xf>
    <xf numFmtId="44" fontId="3" fillId="5" borderId="1" xfId="1" applyFont="1" applyFill="1" applyBorder="1" applyAlignment="1">
      <alignment horizontal="center"/>
    </xf>
    <xf numFmtId="9" fontId="3" fillId="5" borderId="0" xfId="0" applyNumberFormat="1" applyFont="1" applyFill="1" applyAlignment="1">
      <alignment horizontal="center" vertical="center"/>
    </xf>
    <xf numFmtId="0" fontId="3" fillId="5" borderId="0" xfId="0" applyFont="1" applyFill="1" applyAlignment="1">
      <alignment horizontal="center"/>
    </xf>
    <xf numFmtId="6" fontId="3" fillId="5" borderId="0" xfId="0" applyNumberFormat="1" applyFont="1" applyFill="1" applyAlignment="1">
      <alignment horizontal="center"/>
    </xf>
    <xf numFmtId="164" fontId="3" fillId="5" borderId="0" xfId="0" applyNumberFormat="1" applyFont="1" applyFill="1" applyAlignment="1">
      <alignment horizontal="center"/>
    </xf>
    <xf numFmtId="2" fontId="3" fillId="6" borderId="0" xfId="0" applyNumberFormat="1" applyFont="1" applyFill="1" applyAlignment="1">
      <alignment horizontal="center"/>
    </xf>
    <xf numFmtId="44" fontId="3" fillId="2" borderId="0" xfId="0" applyNumberFormat="1" applyFont="1" applyFill="1" applyAlignment="1">
      <alignment horizontal="center"/>
    </xf>
    <xf numFmtId="0" fontId="8" fillId="0" borderId="0" xfId="0" applyFont="1"/>
    <xf numFmtId="0" fontId="0" fillId="0" borderId="2" xfId="0" applyBorder="1"/>
    <xf numFmtId="0" fontId="0" fillId="0" borderId="5" xfId="0" applyBorder="1"/>
    <xf numFmtId="0" fontId="7" fillId="0" borderId="6" xfId="0" applyFont="1" applyBorder="1"/>
    <xf numFmtId="0" fontId="8" fillId="0" borderId="6" xfId="0" applyFont="1" applyBorder="1"/>
    <xf numFmtId="0" fontId="0" fillId="0" borderId="7" xfId="0" applyBorder="1"/>
    <xf numFmtId="0" fontId="2" fillId="0" borderId="9" xfId="0" applyFont="1" applyBorder="1"/>
    <xf numFmtId="0" fontId="0" fillId="7" borderId="2" xfId="0" applyFill="1" applyBorder="1"/>
    <xf numFmtId="0" fontId="0" fillId="7" borderId="3" xfId="0" applyFill="1" applyBorder="1"/>
    <xf numFmtId="0" fontId="2" fillId="7" borderId="3" xfId="0" applyFont="1" applyFill="1" applyBorder="1"/>
    <xf numFmtId="0" fontId="3" fillId="7" borderId="3" xfId="0" applyFont="1" applyFill="1" applyBorder="1"/>
    <xf numFmtId="0" fontId="0" fillId="7" borderId="4" xfId="0" applyFill="1" applyBorder="1"/>
    <xf numFmtId="0" fontId="0" fillId="7" borderId="5" xfId="0" applyFill="1" applyBorder="1"/>
    <xf numFmtId="0" fontId="0" fillId="7" borderId="6" xfId="0" applyFill="1" applyBorder="1"/>
    <xf numFmtId="0" fontId="7" fillId="7" borderId="6" xfId="0" applyFont="1" applyFill="1" applyBorder="1"/>
    <xf numFmtId="0" fontId="8" fillId="7" borderId="6" xfId="0" applyFont="1" applyFill="1" applyBorder="1"/>
    <xf numFmtId="0" fontId="2" fillId="7" borderId="6" xfId="0" applyFont="1" applyFill="1" applyBorder="1" applyAlignment="1">
      <alignment vertical="center"/>
    </xf>
    <xf numFmtId="0" fontId="6" fillId="7" borderId="6" xfId="0" applyFont="1" applyFill="1" applyBorder="1"/>
    <xf numFmtId="0" fontId="2" fillId="7" borderId="6" xfId="0" applyFont="1" applyFill="1" applyBorder="1"/>
    <xf numFmtId="0" fontId="0" fillId="7" borderId="7" xfId="0" applyFill="1" applyBorder="1"/>
    <xf numFmtId="0" fontId="0" fillId="7" borderId="8" xfId="0" applyFill="1" applyBorder="1"/>
    <xf numFmtId="0" fontId="2" fillId="7" borderId="8" xfId="0" applyFont="1" applyFill="1" applyBorder="1"/>
    <xf numFmtId="0" fontId="3" fillId="7" borderId="8" xfId="0" applyFont="1" applyFill="1" applyBorder="1"/>
    <xf numFmtId="0" fontId="0" fillId="7" borderId="9" xfId="0" applyFill="1" applyBorder="1"/>
    <xf numFmtId="0" fontId="1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164" fontId="3" fillId="3" borderId="0" xfId="0" applyNumberFormat="1" applyFont="1" applyFill="1"/>
    <xf numFmtId="3" fontId="2" fillId="0" borderId="8" xfId="0" applyNumberFormat="1" applyFont="1" applyBorder="1"/>
    <xf numFmtId="164" fontId="15" fillId="20" borderId="0" xfId="1" applyNumberFormat="1" applyFont="1" applyFill="1" applyBorder="1" applyAlignment="1">
      <alignment horizontal="center"/>
    </xf>
    <xf numFmtId="0" fontId="0" fillId="7" borderId="0" xfId="0" applyFill="1"/>
    <xf numFmtId="0" fontId="20" fillId="0" borderId="0" xfId="0" applyFont="1"/>
    <xf numFmtId="0" fontId="21" fillId="0" borderId="0" xfId="0" applyFont="1"/>
    <xf numFmtId="0" fontId="21" fillId="0" borderId="0" xfId="0" applyFont="1" applyAlignment="1">
      <alignment horizontal="center"/>
    </xf>
    <xf numFmtId="0" fontId="15" fillId="20" borderId="0" xfId="0" applyFont="1" applyFill="1" applyAlignment="1">
      <alignment horizontal="right"/>
    </xf>
    <xf numFmtId="0" fontId="15" fillId="0" borderId="0" xfId="0" applyFont="1"/>
    <xf numFmtId="0" fontId="23" fillId="20" borderId="0" xfId="0" applyFont="1" applyFill="1" applyAlignment="1">
      <alignment horizontal="right"/>
    </xf>
    <xf numFmtId="0" fontId="23" fillId="20" borderId="0" xfId="0" applyFont="1" applyFill="1"/>
    <xf numFmtId="164" fontId="15" fillId="20" borderId="0" xfId="0" applyNumberFormat="1" applyFont="1" applyFill="1" applyAlignment="1">
      <alignment horizontal="center"/>
    </xf>
    <xf numFmtId="0" fontId="15" fillId="21" borderId="0" xfId="0" applyFont="1" applyFill="1" applyAlignment="1">
      <alignment horizontal="right"/>
    </xf>
    <xf numFmtId="2" fontId="15" fillId="21" borderId="0" xfId="0" applyNumberFormat="1" applyFont="1" applyFill="1" applyAlignment="1">
      <alignment horizontal="center"/>
    </xf>
    <xf numFmtId="1" fontId="15" fillId="21" borderId="0" xfId="0" applyNumberFormat="1" applyFont="1" applyFill="1" applyAlignment="1">
      <alignment horizontal="center"/>
    </xf>
    <xf numFmtId="167" fontId="15" fillId="21" borderId="0" xfId="0" applyNumberFormat="1" applyFont="1" applyFill="1" applyAlignment="1">
      <alignment horizontal="center"/>
    </xf>
    <xf numFmtId="0" fontId="15" fillId="0" borderId="0" xfId="0" applyFont="1" applyAlignment="1">
      <alignment horizontal="right"/>
    </xf>
    <xf numFmtId="167" fontId="15" fillId="0" borderId="0" xfId="0" applyNumberFormat="1" applyFont="1" applyAlignment="1">
      <alignment horizontal="center"/>
    </xf>
    <xf numFmtId="0" fontId="15" fillId="22" borderId="0" xfId="0" applyFont="1" applyFill="1" applyAlignment="1">
      <alignment horizontal="right"/>
    </xf>
    <xf numFmtId="167" fontId="25" fillId="22" borderId="0" xfId="0" applyNumberFormat="1" applyFont="1" applyFill="1" applyAlignment="1">
      <alignment horizontal="center"/>
    </xf>
    <xf numFmtId="0" fontId="15" fillId="23" borderId="0" xfId="0" applyFont="1" applyFill="1" applyAlignment="1">
      <alignment horizontal="right"/>
    </xf>
    <xf numFmtId="0" fontId="25" fillId="15" borderId="0" xfId="0" applyFont="1" applyFill="1" applyAlignment="1">
      <alignment horizontal="right"/>
    </xf>
    <xf numFmtId="167" fontId="25" fillId="15" borderId="0" xfId="0" applyNumberFormat="1" applyFont="1" applyFill="1" applyAlignment="1">
      <alignment horizontal="center"/>
    </xf>
    <xf numFmtId="167" fontId="26" fillId="22" borderId="0" xfId="0" applyNumberFormat="1" applyFont="1" applyFill="1" applyAlignment="1">
      <alignment horizontal="center"/>
    </xf>
    <xf numFmtId="168" fontId="15" fillId="23" borderId="0" xfId="0" applyNumberFormat="1" applyFont="1" applyFill="1" applyAlignment="1">
      <alignment horizontal="center"/>
    </xf>
    <xf numFmtId="0" fontId="15" fillId="23" borderId="0" xfId="0" applyFont="1" applyFill="1" applyAlignment="1">
      <alignment horizontal="center"/>
    </xf>
    <xf numFmtId="0" fontId="15" fillId="24" borderId="0" xfId="0" applyFont="1" applyFill="1" applyAlignment="1">
      <alignment horizontal="right"/>
    </xf>
    <xf numFmtId="164" fontId="15" fillId="24" borderId="0" xfId="0" applyNumberFormat="1" applyFont="1" applyFill="1" applyAlignment="1">
      <alignment horizontal="center"/>
    </xf>
    <xf numFmtId="0" fontId="22" fillId="19" borderId="0" xfId="0" applyFont="1" applyFill="1"/>
    <xf numFmtId="2" fontId="5" fillId="19" borderId="0" xfId="0" applyNumberFormat="1" applyFont="1" applyFill="1" applyAlignment="1">
      <alignment horizontal="center" vertical="center"/>
    </xf>
    <xf numFmtId="0" fontId="15" fillId="24" borderId="0" xfId="0" applyFont="1" applyFill="1" applyAlignment="1">
      <alignment horizontal="right" vertical="top"/>
    </xf>
    <xf numFmtId="164" fontId="15" fillId="24" borderId="0" xfId="0" applyNumberFormat="1" applyFont="1" applyFill="1" applyAlignment="1">
      <alignment horizontal="center" vertical="top"/>
    </xf>
    <xf numFmtId="3" fontId="5" fillId="19" borderId="0" xfId="0" applyNumberFormat="1" applyFont="1" applyFill="1" applyAlignment="1">
      <alignment horizontal="center" vertical="center"/>
    </xf>
    <xf numFmtId="0" fontId="22" fillId="19" borderId="0" xfId="0" applyFont="1" applyFill="1" applyAlignment="1">
      <alignment wrapText="1"/>
    </xf>
    <xf numFmtId="0" fontId="22" fillId="0" borderId="0" xfId="0" applyFont="1" applyAlignment="1">
      <alignment wrapText="1"/>
    </xf>
    <xf numFmtId="3" fontId="5" fillId="0" borderId="0" xfId="0" applyNumberFormat="1" applyFont="1" applyAlignment="1">
      <alignment horizontal="center" vertical="center"/>
    </xf>
    <xf numFmtId="0" fontId="18" fillId="18" borderId="0" xfId="0" applyFont="1" applyFill="1" applyAlignment="1">
      <alignment horizontal="left"/>
    </xf>
    <xf numFmtId="0" fontId="15" fillId="11" borderId="0" xfId="0" applyFont="1" applyFill="1" applyAlignment="1">
      <alignment horizontal="center"/>
    </xf>
    <xf numFmtId="9" fontId="15" fillId="11" borderId="0" xfId="0" applyNumberFormat="1" applyFont="1" applyFill="1" applyAlignment="1">
      <alignment horizontal="center"/>
    </xf>
    <xf numFmtId="167" fontId="15" fillId="11" borderId="0" xfId="0" applyNumberFormat="1" applyFont="1" applyFill="1" applyAlignment="1">
      <alignment horizontal="center"/>
    </xf>
    <xf numFmtId="0" fontId="18" fillId="18" borderId="0" xfId="0" applyFont="1" applyFill="1" applyAlignment="1">
      <alignment horizontal="left"/>
    </xf>
    <xf numFmtId="0" fontId="15" fillId="5" borderId="0" xfId="0" applyFont="1" applyFill="1" applyAlignment="1">
      <alignment horizontal="center"/>
    </xf>
    <xf numFmtId="0" fontId="19" fillId="16" borderId="0" xfId="0" applyFont="1" applyFill="1" applyAlignment="1">
      <alignment horizontal="center"/>
    </xf>
    <xf numFmtId="0" fontId="19" fillId="17" borderId="0" xfId="0" applyFont="1" applyFill="1" applyAlignment="1">
      <alignment horizontal="center"/>
    </xf>
    <xf numFmtId="0" fontId="19" fillId="14" borderId="0" xfId="0" applyFont="1" applyFill="1" applyAlignment="1">
      <alignment horizontal="center"/>
    </xf>
    <xf numFmtId="0" fontId="16" fillId="8" borderId="0" xfId="0" applyFont="1" applyFill="1" applyAlignment="1">
      <alignment horizontal="center"/>
    </xf>
    <xf numFmtId="0" fontId="0" fillId="0" borderId="0" xfId="0"/>
    <xf numFmtId="0" fontId="17" fillId="19" borderId="0" xfId="0" applyFont="1" applyFill="1" applyAlignment="1">
      <alignment horizontal="center"/>
    </xf>
    <xf numFmtId="0" fontId="0" fillId="19" borderId="0" xfId="0" applyFill="1"/>
    <xf numFmtId="0" fontId="21" fillId="19" borderId="0" xfId="0" applyFont="1" applyFill="1" applyAlignment="1">
      <alignment horizontal="center"/>
    </xf>
    <xf numFmtId="0" fontId="19" fillId="9" borderId="0" xfId="0" applyFont="1" applyFill="1" applyAlignment="1">
      <alignment horizontal="center"/>
    </xf>
    <xf numFmtId="0" fontId="15" fillId="10" borderId="0" xfId="0" applyFont="1" applyFill="1" applyAlignment="1">
      <alignment horizontal="center"/>
    </xf>
    <xf numFmtId="0" fontId="19" fillId="1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5" fillId="13" borderId="0" xfId="0" applyFont="1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39995"/>
      <color rgb="FFFFFDE7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3069167</xdr:colOff>
      <xdr:row>3</xdr:row>
      <xdr:rowOff>30238</xdr:rowOff>
    </xdr:from>
    <xdr:to>
      <xdr:col>14</xdr:col>
      <xdr:colOff>586469</xdr:colOff>
      <xdr:row>8</xdr:row>
      <xdr:rowOff>169772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49C1F10-58A6-4102-E07A-0CC9A57BA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0179" y="725714"/>
          <a:ext cx="4273551" cy="2819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96915</xdr:colOff>
      <xdr:row>3</xdr:row>
      <xdr:rowOff>136979</xdr:rowOff>
    </xdr:from>
    <xdr:to>
      <xdr:col>7</xdr:col>
      <xdr:colOff>423196</xdr:colOff>
      <xdr:row>3</xdr:row>
      <xdr:rowOff>1560438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E9FE3AD-7600-A923-AA84-08166019F5EA}"/>
            </a:ext>
            <a:ext uri="{147F2762-F138-4A5C-976F-8EAC2B608ADB}">
              <a16:predDERef xmlns:a16="http://schemas.microsoft.com/office/drawing/2014/main" pred="{5CD81E28-81E6-85F6-38BB-0D025FFE6F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29117" y="832455"/>
          <a:ext cx="4506698" cy="1420284"/>
        </a:xfrm>
        <a:prstGeom prst="rect">
          <a:avLst/>
        </a:prstGeom>
      </xdr:spPr>
    </xdr:pic>
    <xdr:clientData/>
  </xdr:twoCellAnchor>
  <xdr:twoCellAnchor editAs="oneCell">
    <xdr:from>
      <xdr:col>11</xdr:col>
      <xdr:colOff>184545</xdr:colOff>
      <xdr:row>3</xdr:row>
      <xdr:rowOff>227322</xdr:rowOff>
    </xdr:from>
    <xdr:to>
      <xdr:col>14</xdr:col>
      <xdr:colOff>414565</xdr:colOff>
      <xdr:row>3</xdr:row>
      <xdr:rowOff>1005418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870C69D-C689-B6E1-F671-F6D5EBFFE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30735" y="922798"/>
          <a:ext cx="2204266" cy="778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3</xdr:row>
      <xdr:rowOff>0</xdr:rowOff>
    </xdr:from>
    <xdr:to>
      <xdr:col>17</xdr:col>
      <xdr:colOff>304800</xdr:colOff>
      <xdr:row>3</xdr:row>
      <xdr:rowOff>304800</xdr:rowOff>
    </xdr:to>
    <xdr:sp macro="" textlink="">
      <xdr:nvSpPr>
        <xdr:cNvPr id="1027" name="AutoShape 3">
          <a:extLst>
            <a:ext uri="{FF2B5EF4-FFF2-40B4-BE49-F238E27FC236}">
              <a16:creationId xmlns:a16="http://schemas.microsoft.com/office/drawing/2014/main" id="{6585AAD5-56D0-D6C7-271C-7AE4552F1B33}"/>
            </a:ext>
          </a:extLst>
        </xdr:cNvPr>
        <xdr:cNvSpPr>
          <a:spLocks noChangeAspect="1" noChangeArrowheads="1"/>
        </xdr:cNvSpPr>
      </xdr:nvSpPr>
      <xdr:spPr bwMode="auto">
        <a:xfrm>
          <a:off x="14433550" y="69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59531</xdr:colOff>
      <xdr:row>1</xdr:row>
      <xdr:rowOff>174625</xdr:rowOff>
    </xdr:from>
    <xdr:to>
      <xdr:col>3</xdr:col>
      <xdr:colOff>2901461</xdr:colOff>
      <xdr:row>3</xdr:row>
      <xdr:rowOff>164822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3E8FBFA-458E-472D-AA29-6E21710E22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8531" y="370010"/>
          <a:ext cx="2910315" cy="947581"/>
        </a:xfrm>
        <a:prstGeom prst="rect">
          <a:avLst/>
        </a:prstGeom>
      </xdr:spPr>
    </xdr:pic>
    <xdr:clientData/>
  </xdr:twoCellAnchor>
  <xdr:twoCellAnchor editAs="oneCell">
    <xdr:from>
      <xdr:col>6</xdr:col>
      <xdr:colOff>88533</xdr:colOff>
      <xdr:row>2</xdr:row>
      <xdr:rowOff>112345</xdr:rowOff>
    </xdr:from>
    <xdr:to>
      <xdr:col>7</xdr:col>
      <xdr:colOff>786085</xdr:colOff>
      <xdr:row>4</xdr:row>
      <xdr:rowOff>1147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F4A1359-1439-480F-A44A-750B815A7E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06253" y="478105"/>
          <a:ext cx="2312992" cy="8336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51EAF-4E34-4B77-ACB2-178262DCFBDE}">
  <dimension ref="B2:S50"/>
  <sheetViews>
    <sheetView showGridLines="0" zoomScale="70" zoomScaleNormal="70" workbookViewId="0">
      <selection activeCell="M40" sqref="M40"/>
    </sheetView>
  </sheetViews>
  <sheetFormatPr baseColWidth="10" defaultColWidth="8.83203125" defaultRowHeight="18" x14ac:dyDescent="0.2"/>
  <cols>
    <col min="2" max="2" width="4.5" customWidth="1"/>
    <col min="3" max="3" width="4.1640625" customWidth="1"/>
    <col min="4" max="4" width="40.1640625" style="1" customWidth="1"/>
    <col min="5" max="5" width="19.83203125" style="2" bestFit="1" customWidth="1"/>
    <col min="6" max="7" width="0.1640625" style="1" customWidth="1"/>
    <col min="8" max="8" width="10.83203125" style="1" customWidth="1"/>
    <col min="9" max="9" width="44.1640625" style="1" customWidth="1"/>
    <col min="10" max="10" width="17.5" style="1" customWidth="1"/>
    <col min="11" max="11" width="6.83203125" style="1" customWidth="1"/>
    <col min="12" max="12" width="10.5" style="1" bestFit="1" customWidth="1"/>
    <col min="13" max="13" width="9.1640625" style="1"/>
    <col min="15" max="15" width="12.1640625" customWidth="1"/>
    <col min="16" max="16" width="4.1640625" customWidth="1"/>
    <col min="17" max="17" width="8.83203125" customWidth="1"/>
    <col min="19" max="19" width="8.83203125" customWidth="1"/>
  </cols>
  <sheetData>
    <row r="2" spans="2:19" ht="19" thickBot="1" x14ac:dyDescent="0.25"/>
    <row r="3" spans="2:19" ht="19" thickBot="1" x14ac:dyDescent="0.25">
      <c r="B3" s="50"/>
      <c r="C3" s="51"/>
      <c r="D3" s="52"/>
      <c r="E3" s="53"/>
      <c r="F3" s="52"/>
      <c r="G3" s="52"/>
      <c r="H3" s="52"/>
      <c r="I3" s="52"/>
      <c r="J3" s="52"/>
      <c r="K3" s="52"/>
      <c r="L3" s="52"/>
      <c r="M3" s="52"/>
      <c r="N3" s="51"/>
      <c r="O3" s="51"/>
      <c r="P3" s="54"/>
    </row>
    <row r="4" spans="2:19" ht="125.25" customHeight="1" x14ac:dyDescent="0.2">
      <c r="B4" s="55"/>
      <c r="C4" s="44"/>
      <c r="D4" s="6"/>
      <c r="E4" s="5"/>
      <c r="F4" s="6"/>
      <c r="G4" s="6"/>
      <c r="H4" s="6"/>
      <c r="I4" s="6"/>
      <c r="J4" s="6"/>
      <c r="K4" s="6"/>
      <c r="L4" s="6"/>
      <c r="M4" s="6"/>
      <c r="N4" s="7"/>
      <c r="O4" s="8"/>
      <c r="P4" s="56"/>
    </row>
    <row r="5" spans="2:19" ht="29" customHeight="1" x14ac:dyDescent="0.2">
      <c r="B5" s="55"/>
      <c r="C5" s="45"/>
      <c r="D5" s="130" t="s">
        <v>0</v>
      </c>
      <c r="E5" s="130"/>
      <c r="F5" s="130"/>
      <c r="G5" s="130"/>
      <c r="H5" s="130"/>
      <c r="I5" s="130"/>
      <c r="J5" s="68"/>
      <c r="K5" s="68"/>
      <c r="L5" s="68"/>
      <c r="M5" s="68"/>
      <c r="N5" s="68"/>
      <c r="O5" s="46"/>
      <c r="P5" s="57"/>
      <c r="Q5" s="12"/>
      <c r="R5" s="12"/>
      <c r="S5" s="12"/>
    </row>
    <row r="6" spans="2:19" ht="18" customHeight="1" x14ac:dyDescent="0.2">
      <c r="B6" s="55"/>
      <c r="C6" s="45"/>
      <c r="D6" s="129" t="s">
        <v>1</v>
      </c>
      <c r="E6" s="129"/>
      <c r="F6" s="129"/>
      <c r="G6" s="129"/>
      <c r="H6" s="129"/>
      <c r="I6" s="129"/>
      <c r="J6" s="43"/>
      <c r="K6" s="43"/>
      <c r="L6" s="43"/>
      <c r="M6" s="43"/>
      <c r="N6" s="43"/>
      <c r="O6" s="47"/>
      <c r="P6" s="58"/>
      <c r="R6" s="43"/>
      <c r="S6" s="43"/>
    </row>
    <row r="7" spans="2:19" ht="12.5" customHeight="1" x14ac:dyDescent="0.2">
      <c r="B7" s="55"/>
      <c r="C7" s="45"/>
      <c r="O7" s="9"/>
      <c r="P7" s="56"/>
    </row>
    <row r="8" spans="2:19" ht="27" customHeight="1" x14ac:dyDescent="0.2">
      <c r="B8" s="55"/>
      <c r="C8" s="45"/>
      <c r="D8" s="133" t="s">
        <v>2</v>
      </c>
      <c r="E8" s="133"/>
      <c r="F8" s="14"/>
      <c r="G8" s="14"/>
      <c r="H8" s="67"/>
      <c r="I8" s="67"/>
      <c r="J8" s="67"/>
      <c r="O8" s="9"/>
      <c r="P8" s="56"/>
    </row>
    <row r="9" spans="2:19" ht="39" customHeight="1" x14ac:dyDescent="0.2">
      <c r="B9" s="55"/>
      <c r="C9" s="45"/>
      <c r="D9" s="135" t="s">
        <v>3</v>
      </c>
      <c r="E9" s="135"/>
      <c r="F9" s="15"/>
      <c r="G9" s="15"/>
      <c r="H9" s="15"/>
      <c r="I9" s="15"/>
      <c r="J9" s="15"/>
      <c r="O9" s="9"/>
      <c r="P9" s="56"/>
    </row>
    <row r="10" spans="2:19" ht="24" customHeight="1" x14ac:dyDescent="0.2">
      <c r="B10" s="55"/>
      <c r="C10" s="45"/>
      <c r="D10" s="17" t="s">
        <v>4</v>
      </c>
      <c r="E10" s="34">
        <v>100</v>
      </c>
      <c r="I10" s="17" t="s">
        <v>5</v>
      </c>
      <c r="J10" s="34">
        <v>6</v>
      </c>
      <c r="O10" s="9"/>
      <c r="P10" s="56"/>
    </row>
    <row r="11" spans="2:19" ht="24" customHeight="1" x14ac:dyDescent="0.2">
      <c r="B11" s="55"/>
      <c r="C11" s="45"/>
      <c r="D11" s="17" t="s">
        <v>6</v>
      </c>
      <c r="E11" s="34">
        <v>70</v>
      </c>
      <c r="F11" s="1">
        <f>E11*E12</f>
        <v>1400</v>
      </c>
      <c r="G11" s="1">
        <f>F11/43560</f>
        <v>3.2139577594123052E-2</v>
      </c>
      <c r="I11" s="17" t="s">
        <v>7</v>
      </c>
      <c r="J11" s="34">
        <v>40</v>
      </c>
      <c r="O11" s="9"/>
      <c r="P11" s="56"/>
    </row>
    <row r="12" spans="2:19" ht="24" customHeight="1" x14ac:dyDescent="0.2">
      <c r="B12" s="55"/>
      <c r="C12" s="45"/>
      <c r="D12" s="17" t="s">
        <v>8</v>
      </c>
      <c r="E12" s="34">
        <v>20</v>
      </c>
      <c r="I12" s="17" t="s">
        <v>9</v>
      </c>
      <c r="J12" s="34">
        <v>1320</v>
      </c>
      <c r="O12" s="9"/>
      <c r="P12" s="56"/>
    </row>
    <row r="13" spans="2:19" x14ac:dyDescent="0.2">
      <c r="B13" s="55"/>
      <c r="C13" s="45"/>
      <c r="I13" s="129" t="s">
        <v>10</v>
      </c>
      <c r="J13" s="129"/>
      <c r="O13" s="9"/>
      <c r="P13" s="56"/>
    </row>
    <row r="14" spans="2:19" x14ac:dyDescent="0.2">
      <c r="B14" s="55"/>
      <c r="C14" s="45"/>
      <c r="O14" s="9"/>
      <c r="P14" s="56"/>
    </row>
    <row r="15" spans="2:19" ht="19" x14ac:dyDescent="0.2">
      <c r="B15" s="55"/>
      <c r="C15" s="45"/>
      <c r="D15" s="17" t="s">
        <v>11</v>
      </c>
      <c r="E15" s="18">
        <f>J11/G15</f>
        <v>66</v>
      </c>
      <c r="F15" s="1">
        <f>E12*J12</f>
        <v>26400</v>
      </c>
      <c r="G15" s="1">
        <f>F15/43560</f>
        <v>0.60606060606060608</v>
      </c>
      <c r="I15" s="69" t="s">
        <v>12</v>
      </c>
      <c r="J15" s="36">
        <v>140</v>
      </c>
      <c r="N15" s="1"/>
      <c r="O15" s="9"/>
      <c r="P15" s="56"/>
    </row>
    <row r="16" spans="2:19" ht="18" customHeight="1" x14ac:dyDescent="0.2">
      <c r="B16" s="55"/>
      <c r="C16" s="45"/>
      <c r="D16" s="17"/>
      <c r="E16" s="11"/>
      <c r="I16" s="69"/>
      <c r="J16" s="70"/>
      <c r="O16" s="9"/>
      <c r="P16" s="56"/>
    </row>
    <row r="17" spans="2:18" x14ac:dyDescent="0.2">
      <c r="B17" s="55"/>
      <c r="C17" s="45"/>
      <c r="D17" s="17" t="s">
        <v>13</v>
      </c>
      <c r="E17" s="19">
        <f>SUM(J15+R21)</f>
        <v>140</v>
      </c>
      <c r="I17" s="69"/>
      <c r="J17" s="70"/>
      <c r="O17" s="9"/>
      <c r="P17" s="56"/>
    </row>
    <row r="18" spans="2:18" x14ac:dyDescent="0.2">
      <c r="B18" s="55"/>
      <c r="C18" s="45"/>
      <c r="D18" s="17"/>
      <c r="E18" s="11"/>
      <c r="O18" s="9"/>
      <c r="P18" s="56"/>
    </row>
    <row r="19" spans="2:18" x14ac:dyDescent="0.2">
      <c r="B19" s="55"/>
      <c r="C19" s="45"/>
      <c r="D19" s="17" t="s">
        <v>14</v>
      </c>
      <c r="E19" s="20">
        <f>G11*E15</f>
        <v>2.1212121212121215</v>
      </c>
      <c r="O19" s="9"/>
      <c r="P19" s="56"/>
    </row>
    <row r="20" spans="2:18" x14ac:dyDescent="0.2">
      <c r="B20" s="55"/>
      <c r="C20" s="45"/>
      <c r="D20" s="17"/>
      <c r="O20" s="9"/>
      <c r="P20" s="56"/>
    </row>
    <row r="21" spans="2:18" ht="19" x14ac:dyDescent="0.25">
      <c r="B21" s="55"/>
      <c r="C21" s="45"/>
      <c r="D21" s="17" t="s">
        <v>15</v>
      </c>
      <c r="E21" s="37">
        <v>0.5</v>
      </c>
      <c r="O21" s="9"/>
      <c r="P21" s="56"/>
      <c r="R21" s="21"/>
    </row>
    <row r="22" spans="2:18" x14ac:dyDescent="0.2">
      <c r="B22" s="55"/>
      <c r="C22" s="45"/>
      <c r="O22" s="9"/>
      <c r="P22" s="56"/>
    </row>
    <row r="23" spans="2:18" x14ac:dyDescent="0.2">
      <c r="B23" s="55"/>
      <c r="C23" s="45"/>
      <c r="D23" s="1" t="s">
        <v>16</v>
      </c>
      <c r="E23" s="3">
        <f>E19*E17*J10</f>
        <v>1781.818181818182</v>
      </c>
      <c r="O23" s="9"/>
      <c r="P23" s="56"/>
    </row>
    <row r="24" spans="2:18" x14ac:dyDescent="0.2">
      <c r="B24" s="55"/>
      <c r="C24" s="45"/>
      <c r="D24" s="1" t="s">
        <v>17</v>
      </c>
      <c r="E24" s="4">
        <f>J10*E17*E19*E21</f>
        <v>890.90909090909111</v>
      </c>
      <c r="O24" s="9"/>
      <c r="P24" s="56"/>
    </row>
    <row r="25" spans="2:18" x14ac:dyDescent="0.2">
      <c r="B25" s="55"/>
      <c r="C25" s="45"/>
      <c r="O25" s="9"/>
      <c r="P25" s="56"/>
    </row>
    <row r="26" spans="2:18" ht="27.5" customHeight="1" x14ac:dyDescent="0.2">
      <c r="B26" s="55"/>
      <c r="C26" s="45"/>
      <c r="D26" s="133" t="s">
        <v>18</v>
      </c>
      <c r="E26" s="133"/>
      <c r="F26" s="14"/>
      <c r="G26" s="14"/>
      <c r="H26" s="16"/>
      <c r="O26" s="9"/>
      <c r="P26" s="56"/>
    </row>
    <row r="27" spans="2:18" ht="28.25" customHeight="1" x14ac:dyDescent="0.2">
      <c r="B27" s="55"/>
      <c r="C27" s="45"/>
      <c r="D27" s="134" t="s">
        <v>19</v>
      </c>
      <c r="E27" s="134"/>
      <c r="F27" s="15"/>
      <c r="G27" s="15"/>
      <c r="H27" s="15"/>
      <c r="O27" s="9"/>
      <c r="P27" s="56"/>
    </row>
    <row r="28" spans="2:18" ht="1.25" customHeight="1" x14ac:dyDescent="0.2">
      <c r="B28" s="55"/>
      <c r="C28" s="45"/>
      <c r="E28" s="2">
        <f>E12*J12/43560</f>
        <v>0.60606060606060608</v>
      </c>
      <c r="O28" s="9"/>
      <c r="P28" s="56"/>
    </row>
    <row r="29" spans="2:18" ht="18" customHeight="1" x14ac:dyDescent="0.2">
      <c r="B29" s="55"/>
      <c r="C29" s="45"/>
      <c r="D29" s="22" t="s">
        <v>20</v>
      </c>
      <c r="E29" s="38">
        <v>2</v>
      </c>
      <c r="O29" s="9"/>
      <c r="P29" s="56"/>
    </row>
    <row r="30" spans="2:18" x14ac:dyDescent="0.2">
      <c r="B30" s="55"/>
      <c r="C30" s="45"/>
      <c r="D30" s="22"/>
      <c r="E30" s="11"/>
      <c r="I30" s="132" t="s">
        <v>21</v>
      </c>
      <c r="J30" s="132"/>
      <c r="O30" s="9"/>
      <c r="P30" s="56"/>
    </row>
    <row r="31" spans="2:18" ht="18" customHeight="1" x14ac:dyDescent="0.2">
      <c r="B31" s="55"/>
      <c r="C31" s="45"/>
      <c r="D31" s="23" t="s">
        <v>22</v>
      </c>
      <c r="E31" s="35">
        <v>45</v>
      </c>
      <c r="I31" s="132"/>
      <c r="J31" s="132"/>
      <c r="O31" s="9"/>
      <c r="P31" s="56"/>
    </row>
    <row r="32" spans="2:18" ht="18" customHeight="1" x14ac:dyDescent="0.2">
      <c r="B32" s="55"/>
      <c r="C32" s="45"/>
      <c r="D32" s="23"/>
      <c r="E32" s="3"/>
      <c r="I32" s="17" t="s">
        <v>23</v>
      </c>
      <c r="J32" s="33">
        <v>3</v>
      </c>
      <c r="O32" s="9"/>
      <c r="P32" s="56"/>
    </row>
    <row r="33" spans="2:16" ht="19" x14ac:dyDescent="0.2">
      <c r="B33" s="55"/>
      <c r="C33" s="45"/>
      <c r="D33" s="22" t="s">
        <v>24</v>
      </c>
      <c r="E33" s="20">
        <f>E29*E28</f>
        <v>1.2121212121212122</v>
      </c>
      <c r="I33" s="17"/>
      <c r="J33" s="13"/>
      <c r="O33" s="9"/>
      <c r="P33" s="56"/>
    </row>
    <row r="34" spans="2:16" x14ac:dyDescent="0.2">
      <c r="B34" s="55"/>
      <c r="C34" s="45"/>
      <c r="I34" s="17" t="s">
        <v>25</v>
      </c>
      <c r="J34" s="33">
        <v>2.9</v>
      </c>
      <c r="O34" s="9"/>
      <c r="P34" s="56"/>
    </row>
    <row r="35" spans="2:16" ht="38" x14ac:dyDescent="0.2">
      <c r="B35" s="55"/>
      <c r="C35" s="45"/>
      <c r="D35" s="24" t="s">
        <v>26</v>
      </c>
      <c r="E35" s="25">
        <f>J10*(E33*(E17 + E31))</f>
        <v>1345.4545454545455</v>
      </c>
      <c r="I35" s="17"/>
      <c r="J35" s="13"/>
      <c r="O35" s="9"/>
      <c r="P35" s="56"/>
    </row>
    <row r="36" spans="2:16" x14ac:dyDescent="0.2">
      <c r="B36" s="55"/>
      <c r="C36" s="45"/>
      <c r="E36" s="26"/>
      <c r="I36" s="17" t="s">
        <v>27</v>
      </c>
      <c r="J36" s="27">
        <f>SUM(J32/J34)-1</f>
        <v>3.4482758620689724E-2</v>
      </c>
      <c r="K36" s="28" t="s">
        <v>28</v>
      </c>
      <c r="O36" s="9"/>
      <c r="P36" s="56"/>
    </row>
    <row r="37" spans="2:16" x14ac:dyDescent="0.2">
      <c r="B37" s="55"/>
      <c r="C37" s="45"/>
      <c r="D37" s="29" t="s">
        <v>29</v>
      </c>
      <c r="E37" s="30">
        <f>E24</f>
        <v>890.90909090909111</v>
      </c>
      <c r="K37" s="28" t="s">
        <v>30</v>
      </c>
      <c r="O37" s="9"/>
      <c r="P37" s="56"/>
    </row>
    <row r="38" spans="2:16" x14ac:dyDescent="0.2">
      <c r="B38" s="55"/>
      <c r="C38" s="45"/>
      <c r="D38" s="29"/>
      <c r="E38" s="26"/>
      <c r="O38" s="9"/>
      <c r="P38" s="56"/>
    </row>
    <row r="39" spans="2:16" x14ac:dyDescent="0.2">
      <c r="B39" s="55"/>
      <c r="C39" s="45"/>
      <c r="D39" s="29" t="s">
        <v>31</v>
      </c>
      <c r="E39" s="30">
        <f>E35+E37</f>
        <v>2236.3636363636365</v>
      </c>
      <c r="O39" s="9"/>
      <c r="P39" s="56"/>
    </row>
    <row r="40" spans="2:16" x14ac:dyDescent="0.2">
      <c r="B40" s="55"/>
      <c r="C40" s="45"/>
      <c r="L40"/>
      <c r="M40"/>
      <c r="O40" s="9"/>
      <c r="P40" s="56"/>
    </row>
    <row r="41" spans="2:16" x14ac:dyDescent="0.2">
      <c r="B41" s="55"/>
      <c r="C41" s="45"/>
      <c r="D41" s="29" t="s">
        <v>32</v>
      </c>
      <c r="E41" s="38">
        <v>5000</v>
      </c>
      <c r="L41"/>
      <c r="M41"/>
      <c r="O41" s="9"/>
      <c r="P41" s="56"/>
    </row>
    <row r="42" spans="2:16" x14ac:dyDescent="0.2">
      <c r="B42" s="55"/>
      <c r="C42" s="45"/>
      <c r="D42" s="29" t="s">
        <v>33</v>
      </c>
      <c r="E42" s="42">
        <f>(E41/J11)*E39</f>
        <v>279545.45454545459</v>
      </c>
      <c r="L42"/>
      <c r="M42"/>
      <c r="O42" s="9"/>
      <c r="P42" s="56"/>
    </row>
    <row r="43" spans="2:16" x14ac:dyDescent="0.2">
      <c r="B43" s="55"/>
      <c r="C43" s="45"/>
      <c r="D43" s="29"/>
      <c r="E43" s="11"/>
      <c r="L43"/>
      <c r="M43"/>
      <c r="O43" s="9"/>
      <c r="P43" s="56"/>
    </row>
    <row r="44" spans="2:16" x14ac:dyDescent="0.2">
      <c r="B44" s="55"/>
      <c r="C44" s="45"/>
      <c r="D44" s="29" t="s">
        <v>34</v>
      </c>
      <c r="E44" s="31">
        <f>J44*N44</f>
        <v>174000</v>
      </c>
      <c r="I44" s="17" t="s">
        <v>35</v>
      </c>
      <c r="J44" s="40">
        <v>14500</v>
      </c>
      <c r="K44" s="131" t="s">
        <v>36</v>
      </c>
      <c r="L44" s="131"/>
      <c r="M44" s="131"/>
      <c r="N44" s="38">
        <v>12</v>
      </c>
      <c r="O44" s="9"/>
      <c r="P44" s="56"/>
    </row>
    <row r="45" spans="2:16" x14ac:dyDescent="0.2">
      <c r="B45" s="55"/>
      <c r="C45" s="45"/>
      <c r="D45" s="29" t="s">
        <v>37</v>
      </c>
      <c r="E45" s="41">
        <f>(E44/E42)</f>
        <v>0.62243902439024379</v>
      </c>
      <c r="I45" s="127" t="s">
        <v>38</v>
      </c>
      <c r="J45" s="127"/>
      <c r="K45" s="127"/>
      <c r="L45" s="127"/>
      <c r="M45" s="127"/>
      <c r="N45" s="127"/>
      <c r="O45" s="128"/>
      <c r="P45" s="59"/>
    </row>
    <row r="46" spans="2:16" ht="18" customHeight="1" x14ac:dyDescent="0.2">
      <c r="B46" s="55"/>
      <c r="C46" s="45"/>
      <c r="D46" s="29" t="s">
        <v>39</v>
      </c>
      <c r="E46" s="39">
        <v>1500</v>
      </c>
      <c r="I46" s="125" t="s">
        <v>40</v>
      </c>
      <c r="J46" s="125"/>
      <c r="K46" s="125"/>
      <c r="L46" s="125"/>
      <c r="M46" s="125"/>
      <c r="N46" s="125"/>
      <c r="O46" s="126"/>
      <c r="P46" s="60"/>
    </row>
    <row r="47" spans="2:16" x14ac:dyDescent="0.2">
      <c r="B47" s="55"/>
      <c r="C47" s="45"/>
      <c r="D47" s="29" t="s">
        <v>41</v>
      </c>
      <c r="E47" s="31">
        <f>E46*N44</f>
        <v>18000</v>
      </c>
      <c r="I47" s="125"/>
      <c r="J47" s="125"/>
      <c r="K47" s="125"/>
      <c r="L47" s="125"/>
      <c r="M47" s="125"/>
      <c r="N47" s="125"/>
      <c r="O47" s="126"/>
      <c r="P47" s="56"/>
    </row>
    <row r="48" spans="2:16" x14ac:dyDescent="0.2">
      <c r="B48" s="55"/>
      <c r="C48" s="45"/>
      <c r="D48" s="29" t="s">
        <v>42</v>
      </c>
      <c r="E48" s="32">
        <f>(E46/E42)*365</f>
        <v>1.9585365853658534</v>
      </c>
      <c r="I48" s="125"/>
      <c r="J48" s="125"/>
      <c r="K48" s="125"/>
      <c r="L48" s="125"/>
      <c r="M48" s="125"/>
      <c r="N48" s="125"/>
      <c r="O48" s="126"/>
      <c r="P48" s="56"/>
    </row>
    <row r="49" spans="2:16" ht="19" thickBot="1" x14ac:dyDescent="0.25">
      <c r="B49" s="55"/>
      <c r="C49" s="48"/>
      <c r="D49" s="10" t="s">
        <v>43</v>
      </c>
      <c r="E49" s="71">
        <f>E44/(E39/J11)</f>
        <v>3112.1951219512193</v>
      </c>
      <c r="F49" s="10"/>
      <c r="G49" s="10"/>
      <c r="H49" s="10"/>
      <c r="I49" s="10"/>
      <c r="J49" s="10"/>
      <c r="K49" s="10"/>
      <c r="L49" s="10"/>
      <c r="M49" s="10"/>
      <c r="N49" s="10"/>
      <c r="O49" s="49"/>
      <c r="P49" s="61"/>
    </row>
    <row r="50" spans="2:16" ht="19" thickBot="1" x14ac:dyDescent="0.25">
      <c r="B50" s="62"/>
      <c r="C50" s="63"/>
      <c r="D50" s="64"/>
      <c r="E50" s="65"/>
      <c r="F50" s="64"/>
      <c r="G50" s="64"/>
      <c r="H50" s="64"/>
      <c r="I50" s="64"/>
      <c r="J50" s="64"/>
      <c r="K50" s="64"/>
      <c r="L50" s="64"/>
      <c r="M50" s="64"/>
      <c r="N50" s="63"/>
      <c r="O50" s="63"/>
      <c r="P50" s="66"/>
    </row>
  </sheetData>
  <mergeCells count="11">
    <mergeCell ref="I46:O48"/>
    <mergeCell ref="I45:O45"/>
    <mergeCell ref="D6:I6"/>
    <mergeCell ref="D5:I5"/>
    <mergeCell ref="K44:M44"/>
    <mergeCell ref="I30:J31"/>
    <mergeCell ref="D26:E26"/>
    <mergeCell ref="D27:E27"/>
    <mergeCell ref="I13:J13"/>
    <mergeCell ref="D8:E8"/>
    <mergeCell ref="D9:E9"/>
  </mergeCells>
  <pageMargins left="0.7" right="0.7" top="0.75" bottom="0.75" header="0.3" footer="0.3"/>
  <pageSetup orientation="portrait" r:id="rId1"/>
  <headerFooter>
    <oddFooter>&amp;R_x000D_&amp;1#&amp;"Calibri"&amp;10&amp;KFF0000 Company Use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56F0B-97F7-4F71-9C67-5068C249D5FA}">
  <dimension ref="B2:N50"/>
  <sheetViews>
    <sheetView showGridLines="0" tabSelected="1" zoomScale="130" zoomScaleNormal="130" workbookViewId="0">
      <selection activeCell="E13" sqref="E13"/>
    </sheetView>
  </sheetViews>
  <sheetFormatPr baseColWidth="10" defaultColWidth="8.83203125" defaultRowHeight="15" x14ac:dyDescent="0.2"/>
  <cols>
    <col min="2" max="2" width="2.83203125" customWidth="1"/>
    <col min="3" max="3" width="0.83203125" customWidth="1"/>
    <col min="4" max="4" width="40.5" customWidth="1"/>
    <col min="5" max="5" width="13.5" bestFit="1" customWidth="1"/>
    <col min="6" max="6" width="0.83203125" customWidth="1"/>
    <col min="7" max="7" width="23.5" customWidth="1"/>
    <col min="8" max="8" width="11.83203125" bestFit="1" customWidth="1"/>
    <col min="9" max="9" width="1.5" customWidth="1"/>
    <col min="10" max="10" width="3" customWidth="1"/>
  </cols>
  <sheetData>
    <row r="2" spans="2:14" x14ac:dyDescent="0.2">
      <c r="B2" s="73"/>
      <c r="C2" s="73"/>
      <c r="D2" s="73"/>
      <c r="E2" s="73"/>
      <c r="F2" s="73"/>
      <c r="G2" s="73"/>
      <c r="H2" s="73"/>
      <c r="I2" s="73"/>
      <c r="J2" s="73"/>
    </row>
    <row r="3" spans="2:14" ht="60" customHeight="1" x14ac:dyDescent="0.2">
      <c r="B3" s="73"/>
      <c r="D3" s="74"/>
      <c r="J3" s="73"/>
    </row>
    <row r="4" spans="2:14" x14ac:dyDescent="0.2">
      <c r="B4" s="73"/>
      <c r="J4" s="73"/>
    </row>
    <row r="5" spans="2:14" ht="24" x14ac:dyDescent="0.3">
      <c r="B5" s="73"/>
      <c r="D5" s="115" t="s">
        <v>44</v>
      </c>
      <c r="E5" s="116"/>
      <c r="F5" s="116"/>
      <c r="G5" s="116"/>
      <c r="H5" s="116"/>
      <c r="J5" s="73"/>
    </row>
    <row r="6" spans="2:14" x14ac:dyDescent="0.2">
      <c r="B6" s="73"/>
      <c r="D6" s="117" t="s">
        <v>45</v>
      </c>
      <c r="E6" s="118"/>
      <c r="F6" s="118"/>
      <c r="G6" s="118"/>
      <c r="H6" s="118"/>
      <c r="J6" s="73"/>
    </row>
    <row r="7" spans="2:14" ht="14.5" customHeight="1" x14ac:dyDescent="0.2">
      <c r="B7" s="73"/>
      <c r="D7" s="119" t="s">
        <v>1</v>
      </c>
      <c r="E7" s="119"/>
      <c r="F7" s="119"/>
      <c r="G7" s="119"/>
      <c r="H7" s="119"/>
      <c r="I7" s="75"/>
      <c r="J7" s="73"/>
    </row>
    <row r="8" spans="2:14" ht="7.5" customHeight="1" x14ac:dyDescent="0.2">
      <c r="B8" s="73"/>
      <c r="D8" s="76"/>
      <c r="E8" s="76"/>
      <c r="F8" s="76"/>
      <c r="G8" s="76"/>
      <c r="H8" s="76"/>
      <c r="I8" s="75"/>
      <c r="J8" s="73"/>
    </row>
    <row r="9" spans="2:14" ht="17" customHeight="1" x14ac:dyDescent="0.2">
      <c r="B9" s="73"/>
      <c r="D9" s="120" t="s">
        <v>46</v>
      </c>
      <c r="E9" s="120"/>
      <c r="F9" s="120"/>
      <c r="G9" s="120"/>
      <c r="H9" s="120"/>
      <c r="J9" s="73"/>
    </row>
    <row r="10" spans="2:14" ht="14.5" customHeight="1" x14ac:dyDescent="0.2">
      <c r="B10" s="73"/>
      <c r="D10" s="121" t="s">
        <v>47</v>
      </c>
      <c r="E10" s="121"/>
      <c r="G10" s="121" t="s">
        <v>48</v>
      </c>
      <c r="H10" s="121"/>
      <c r="J10" s="73"/>
    </row>
    <row r="11" spans="2:14" ht="14.5" customHeight="1" x14ac:dyDescent="0.2">
      <c r="B11" s="73"/>
      <c r="D11" s="77" t="s">
        <v>49</v>
      </c>
      <c r="E11" s="107">
        <v>150</v>
      </c>
      <c r="F11" s="78"/>
      <c r="G11" s="77" t="s">
        <v>50</v>
      </c>
      <c r="H11" s="107">
        <v>80</v>
      </c>
      <c r="J11" s="73"/>
    </row>
    <row r="12" spans="2:14" ht="14.5" customHeight="1" x14ac:dyDescent="0.2">
      <c r="B12" s="73"/>
      <c r="D12" s="77" t="s">
        <v>51</v>
      </c>
      <c r="E12" s="107">
        <v>60</v>
      </c>
      <c r="F12" s="78"/>
      <c r="G12" s="77" t="s">
        <v>52</v>
      </c>
      <c r="H12" s="107">
        <v>660</v>
      </c>
      <c r="J12" s="73"/>
    </row>
    <row r="13" spans="2:14" ht="14.5" customHeight="1" x14ac:dyDescent="0.2">
      <c r="B13" s="73"/>
      <c r="D13" s="77" t="s">
        <v>53</v>
      </c>
      <c r="E13" s="107">
        <v>18</v>
      </c>
      <c r="F13" s="78"/>
      <c r="G13" s="77" t="s">
        <v>54</v>
      </c>
      <c r="H13" s="107">
        <v>8</v>
      </c>
      <c r="J13" s="73"/>
      <c r="N13" t="s">
        <v>55</v>
      </c>
    </row>
    <row r="14" spans="2:14" x14ac:dyDescent="0.2">
      <c r="B14" s="73"/>
      <c r="D14" s="77" t="s">
        <v>56</v>
      </c>
      <c r="E14" s="108">
        <v>0.6</v>
      </c>
      <c r="F14" s="78"/>
      <c r="G14" s="77" t="s">
        <v>57</v>
      </c>
      <c r="H14" s="109">
        <v>535</v>
      </c>
      <c r="J14" s="73"/>
    </row>
    <row r="15" spans="2:14" x14ac:dyDescent="0.2">
      <c r="B15" s="73"/>
      <c r="D15" s="77" t="s">
        <v>58</v>
      </c>
      <c r="E15" s="107">
        <v>2</v>
      </c>
      <c r="F15" s="78"/>
      <c r="G15" s="77" t="s">
        <v>59</v>
      </c>
      <c r="H15" s="109">
        <v>43</v>
      </c>
      <c r="J15" s="73"/>
    </row>
    <row r="16" spans="2:14" ht="7" customHeight="1" x14ac:dyDescent="0.2">
      <c r="B16" s="73"/>
      <c r="J16" s="73"/>
    </row>
    <row r="17" spans="2:10" x14ac:dyDescent="0.2">
      <c r="B17" s="73"/>
      <c r="D17" s="121" t="s">
        <v>60</v>
      </c>
      <c r="E17" s="121"/>
      <c r="G17" s="121" t="s">
        <v>61</v>
      </c>
      <c r="H17" s="121"/>
      <c r="J17" s="73"/>
    </row>
    <row r="18" spans="2:10" x14ac:dyDescent="0.2">
      <c r="B18" s="73"/>
      <c r="D18" s="77" t="s">
        <v>36</v>
      </c>
      <c r="E18" s="107">
        <v>12</v>
      </c>
      <c r="G18" s="79" t="s">
        <v>62</v>
      </c>
      <c r="H18" s="80" t="s">
        <v>63</v>
      </c>
      <c r="J18" s="73"/>
    </row>
    <row r="19" spans="2:10" x14ac:dyDescent="0.2">
      <c r="B19" s="73"/>
      <c r="D19" s="77" t="s">
        <v>32</v>
      </c>
      <c r="E19" s="107">
        <v>4500</v>
      </c>
      <c r="G19" s="79" t="s">
        <v>64</v>
      </c>
      <c r="H19" s="80" t="s">
        <v>65</v>
      </c>
      <c r="J19" s="73"/>
    </row>
    <row r="20" spans="2:10" x14ac:dyDescent="0.2">
      <c r="B20" s="73"/>
      <c r="D20" s="77" t="s">
        <v>66</v>
      </c>
      <c r="E20" s="81">
        <v>1500</v>
      </c>
      <c r="G20" s="79" t="s">
        <v>67</v>
      </c>
      <c r="H20" s="80" t="s">
        <v>68</v>
      </c>
      <c r="J20" s="73"/>
    </row>
    <row r="21" spans="2:10" x14ac:dyDescent="0.2">
      <c r="B21" s="73"/>
      <c r="D21" s="77" t="s">
        <v>69</v>
      </c>
      <c r="E21" s="72">
        <v>14500</v>
      </c>
      <c r="G21" s="79" t="s">
        <v>70</v>
      </c>
      <c r="H21" s="80" t="s">
        <v>71</v>
      </c>
      <c r="J21" s="73"/>
    </row>
    <row r="22" spans="2:10" ht="6.5" customHeight="1" x14ac:dyDescent="0.2">
      <c r="B22" s="73"/>
      <c r="J22" s="73"/>
    </row>
    <row r="23" spans="2:10" x14ac:dyDescent="0.2">
      <c r="B23" s="73"/>
      <c r="D23" s="122" t="s">
        <v>72</v>
      </c>
      <c r="E23" s="123"/>
      <c r="F23" s="123"/>
      <c r="G23" s="123"/>
      <c r="H23" s="123"/>
      <c r="J23" s="73"/>
    </row>
    <row r="24" spans="2:10" x14ac:dyDescent="0.2">
      <c r="B24" s="73"/>
      <c r="D24" s="124" t="s">
        <v>73</v>
      </c>
      <c r="E24" s="124"/>
      <c r="G24" s="124" t="s">
        <v>74</v>
      </c>
      <c r="H24" s="124"/>
      <c r="J24" s="73"/>
    </row>
    <row r="25" spans="2:10" x14ac:dyDescent="0.2">
      <c r="B25" s="73"/>
      <c r="D25" s="82" t="s">
        <v>75</v>
      </c>
      <c r="E25" s="83">
        <f>E13*H12/43560</f>
        <v>0.27272727272727271</v>
      </c>
      <c r="F25" s="78"/>
      <c r="G25" s="82" t="s">
        <v>76</v>
      </c>
      <c r="H25" s="83">
        <f>E13*H12/43560</f>
        <v>0.27272727272727271</v>
      </c>
      <c r="J25" s="73"/>
    </row>
    <row r="26" spans="2:10" x14ac:dyDescent="0.2">
      <c r="B26" s="73"/>
      <c r="D26" s="82" t="s">
        <v>77</v>
      </c>
      <c r="E26" s="84">
        <f>H11/E25</f>
        <v>293.33333333333337</v>
      </c>
      <c r="F26" s="78"/>
      <c r="G26" s="82" t="s">
        <v>78</v>
      </c>
      <c r="H26" s="83">
        <f>H25*E15</f>
        <v>0.54545454545454541</v>
      </c>
      <c r="J26" s="73"/>
    </row>
    <row r="27" spans="2:10" x14ac:dyDescent="0.2">
      <c r="B27" s="73"/>
      <c r="D27" s="82" t="s">
        <v>79</v>
      </c>
      <c r="E27" s="83">
        <f>(E12*2*3.14*0.5)*E13/43560</f>
        <v>7.7851239669421493E-2</v>
      </c>
      <c r="F27" s="78"/>
      <c r="G27" s="82" t="s">
        <v>80</v>
      </c>
      <c r="H27" s="85">
        <f>H13*(H26*(H14+H15))</f>
        <v>2522.181818181818</v>
      </c>
      <c r="J27" s="73"/>
    </row>
    <row r="28" spans="2:10" x14ac:dyDescent="0.2">
      <c r="B28" s="73"/>
      <c r="D28" s="82" t="s">
        <v>14</v>
      </c>
      <c r="E28" s="83">
        <f>E27*E26</f>
        <v>22.83636363636364</v>
      </c>
      <c r="F28" s="78"/>
      <c r="G28" s="78"/>
      <c r="H28" s="78"/>
      <c r="J28" s="73"/>
    </row>
    <row r="29" spans="2:10" x14ac:dyDescent="0.2">
      <c r="B29" s="73"/>
      <c r="D29" s="82" t="s">
        <v>81</v>
      </c>
      <c r="E29" s="85">
        <f>E28*H14*H13*E14</f>
        <v>58643.781818181829</v>
      </c>
      <c r="F29" s="78"/>
      <c r="G29" s="78"/>
      <c r="H29" s="78"/>
      <c r="J29" s="73"/>
    </row>
    <row r="30" spans="2:10" ht="7.5" customHeight="1" x14ac:dyDescent="0.2">
      <c r="B30" s="73"/>
      <c r="D30" s="86"/>
      <c r="E30" s="87"/>
      <c r="F30" s="78"/>
      <c r="G30" s="78"/>
      <c r="H30" s="78"/>
      <c r="J30" s="73"/>
    </row>
    <row r="31" spans="2:10" x14ac:dyDescent="0.2">
      <c r="B31" s="73"/>
      <c r="D31" s="114" t="s">
        <v>82</v>
      </c>
      <c r="E31" s="114"/>
      <c r="F31" s="78"/>
      <c r="G31" s="78"/>
      <c r="H31" s="78"/>
      <c r="J31" s="73"/>
    </row>
    <row r="32" spans="2:10" x14ac:dyDescent="0.2">
      <c r="B32" s="73"/>
      <c r="D32" s="88" t="s">
        <v>83</v>
      </c>
      <c r="E32" s="89">
        <f>E29</f>
        <v>58643.781818181829</v>
      </c>
      <c r="G32" s="111" t="s">
        <v>84</v>
      </c>
      <c r="H32" s="111"/>
      <c r="J32" s="73"/>
    </row>
    <row r="33" spans="2:10" x14ac:dyDescent="0.2">
      <c r="B33" s="73"/>
      <c r="D33" s="88" t="s">
        <v>18</v>
      </c>
      <c r="E33" s="89">
        <f>H27</f>
        <v>2522.181818181818</v>
      </c>
      <c r="G33" s="90" t="s">
        <v>23</v>
      </c>
      <c r="H33" s="107">
        <v>3</v>
      </c>
      <c r="J33" s="73"/>
    </row>
    <row r="34" spans="2:10" x14ac:dyDescent="0.2">
      <c r="B34" s="73"/>
      <c r="D34" s="91" t="s">
        <v>85</v>
      </c>
      <c r="E34" s="92">
        <f>E32+E33</f>
        <v>61165.963636363645</v>
      </c>
      <c r="G34" s="90" t="s">
        <v>25</v>
      </c>
      <c r="H34" s="107">
        <v>2.85</v>
      </c>
      <c r="J34" s="73"/>
    </row>
    <row r="35" spans="2:10" x14ac:dyDescent="0.2">
      <c r="B35" s="73"/>
      <c r="D35" s="88" t="s">
        <v>86</v>
      </c>
      <c r="E35" s="93">
        <f>E34/H11</f>
        <v>764.57454545454561</v>
      </c>
      <c r="G35" s="90" t="s">
        <v>87</v>
      </c>
      <c r="H35" s="94">
        <f>(H33-H34)/H33</f>
        <v>4.9999999999999968E-2</v>
      </c>
      <c r="J35" s="73"/>
    </row>
    <row r="36" spans="2:10" x14ac:dyDescent="0.2">
      <c r="B36" s="73"/>
      <c r="D36" s="88" t="s">
        <v>88</v>
      </c>
      <c r="E36" s="93">
        <f>(E19/H11)*E34</f>
        <v>3440585.4545454551</v>
      </c>
      <c r="G36" s="90" t="s">
        <v>89</v>
      </c>
      <c r="H36" s="95" t="str">
        <f>IF(H35&gt;0,"Over-applying",IF(H35&lt;0,"Under-applying","On Target"))</f>
        <v>Over-applying</v>
      </c>
      <c r="J36" s="73"/>
    </row>
    <row r="37" spans="2:10" ht="5.5" customHeight="1" x14ac:dyDescent="0.2">
      <c r="B37" s="73"/>
      <c r="J37" s="73"/>
    </row>
    <row r="38" spans="2:10" x14ac:dyDescent="0.2">
      <c r="B38" s="73"/>
      <c r="D38" s="112" t="s">
        <v>90</v>
      </c>
      <c r="E38" s="112"/>
      <c r="F38" s="112"/>
      <c r="G38" s="112"/>
      <c r="H38" s="112"/>
      <c r="J38" s="73"/>
    </row>
    <row r="39" spans="2:10" ht="19" x14ac:dyDescent="0.2">
      <c r="B39" s="73"/>
      <c r="D39" s="96" t="s">
        <v>91</v>
      </c>
      <c r="E39" s="97">
        <f>E18*E21</f>
        <v>174000</v>
      </c>
      <c r="G39" s="98" t="s">
        <v>92</v>
      </c>
      <c r="H39" s="99">
        <f>E39/E36</f>
        <v>5.0572788352088061E-2</v>
      </c>
      <c r="J39" s="73"/>
    </row>
    <row r="40" spans="2:10" ht="19" x14ac:dyDescent="0.2">
      <c r="B40" s="73"/>
      <c r="D40" s="100" t="s">
        <v>93</v>
      </c>
      <c r="E40" s="101">
        <f>E18*E20</f>
        <v>18000</v>
      </c>
      <c r="G40" s="98" t="s">
        <v>94</v>
      </c>
      <c r="H40" s="102">
        <f>E39/E35</f>
        <v>227.57754758439626</v>
      </c>
      <c r="J40" s="73"/>
    </row>
    <row r="41" spans="2:10" ht="34" x14ac:dyDescent="0.2">
      <c r="B41" s="73"/>
      <c r="G41" s="103" t="s">
        <v>95</v>
      </c>
      <c r="H41" s="102">
        <f>E40/E35</f>
        <v>23.542504922523751</v>
      </c>
      <c r="J41" s="73"/>
    </row>
    <row r="42" spans="2:10" ht="7" customHeight="1" x14ac:dyDescent="0.2">
      <c r="B42" s="73"/>
      <c r="G42" s="104"/>
      <c r="H42" s="105"/>
      <c r="J42" s="73"/>
    </row>
    <row r="43" spans="2:10" x14ac:dyDescent="0.2">
      <c r="B43" s="73"/>
      <c r="D43" s="113" t="s">
        <v>96</v>
      </c>
      <c r="E43" s="113"/>
      <c r="J43" s="73"/>
    </row>
    <row r="44" spans="2:10" x14ac:dyDescent="0.2">
      <c r="B44" s="73"/>
      <c r="D44" s="110" t="s">
        <v>97</v>
      </c>
      <c r="E44" s="110"/>
      <c r="J44" s="73"/>
    </row>
    <row r="45" spans="2:10" x14ac:dyDescent="0.2">
      <c r="B45" s="73"/>
      <c r="D45" s="110" t="s">
        <v>98</v>
      </c>
      <c r="E45" s="110"/>
      <c r="J45" s="73"/>
    </row>
    <row r="46" spans="2:10" x14ac:dyDescent="0.2">
      <c r="B46" s="73"/>
      <c r="D46" s="110" t="s">
        <v>99</v>
      </c>
      <c r="E46" s="110"/>
      <c r="J46" s="73"/>
    </row>
    <row r="47" spans="2:10" x14ac:dyDescent="0.2">
      <c r="B47" s="73"/>
      <c r="D47" s="106" t="s">
        <v>100</v>
      </c>
      <c r="E47" s="106"/>
      <c r="J47" s="73"/>
    </row>
    <row r="48" spans="2:10" x14ac:dyDescent="0.2">
      <c r="B48" s="73"/>
      <c r="D48" s="110" t="s">
        <v>101</v>
      </c>
      <c r="E48" s="110"/>
      <c r="J48" s="73"/>
    </row>
    <row r="49" spans="2:10" ht="7.5" customHeight="1" x14ac:dyDescent="0.2">
      <c r="B49" s="73"/>
      <c r="J49" s="73"/>
    </row>
    <row r="50" spans="2:10" x14ac:dyDescent="0.2">
      <c r="B50" s="73"/>
      <c r="C50" s="73"/>
      <c r="D50" s="73"/>
      <c r="E50" s="73"/>
      <c r="F50" s="73"/>
      <c r="G50" s="73"/>
      <c r="H50" s="73"/>
      <c r="I50" s="73"/>
      <c r="J50" s="73"/>
    </row>
  </sheetData>
  <mergeCells count="19">
    <mergeCell ref="D31:E31"/>
    <mergeCell ref="D5:H5"/>
    <mergeCell ref="D6:H6"/>
    <mergeCell ref="D7:H7"/>
    <mergeCell ref="D9:H9"/>
    <mergeCell ref="D10:E10"/>
    <mergeCell ref="G10:H10"/>
    <mergeCell ref="D17:E17"/>
    <mergeCell ref="G17:H17"/>
    <mergeCell ref="D23:H23"/>
    <mergeCell ref="D24:E24"/>
    <mergeCell ref="G24:H24"/>
    <mergeCell ref="D48:E48"/>
    <mergeCell ref="G32:H32"/>
    <mergeCell ref="D38:H38"/>
    <mergeCell ref="D43:E43"/>
    <mergeCell ref="D44:E44"/>
    <mergeCell ref="D45:E45"/>
    <mergeCell ref="D46:E46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1DED3144ECC747B701CF85E9B9FE96" ma:contentTypeVersion="16" ma:contentTypeDescription="Create a new document." ma:contentTypeScope="" ma:versionID="e1dd0d924b1d18e3c189b15f44f06045">
  <xsd:schema xmlns:xsd="http://www.w3.org/2001/XMLSchema" xmlns:xs="http://www.w3.org/2001/XMLSchema" xmlns:p="http://schemas.microsoft.com/office/2006/metadata/properties" xmlns:ns2="33d83515-661e-4749-94c9-1d271c9dd623" xmlns:ns3="aa907642-852f-47a4-beb2-3304f169ad0b" targetNamespace="http://schemas.microsoft.com/office/2006/metadata/properties" ma:root="true" ma:fieldsID="3b5c2ed448ba0f2ee316292c2f33ae11" ns2:_="" ns3:_="">
    <xsd:import namespace="33d83515-661e-4749-94c9-1d271c9dd623"/>
    <xsd:import namespace="aa907642-852f-47a4-beb2-3304f169ad0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d83515-661e-4749-94c9-1d271c9dd62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78d42f-a052-4658-8fa9-50e4102fc880}" ma:internalName="TaxCatchAll" ma:showField="CatchAllData" ma:web="33d83515-661e-4749-94c9-1d271c9dd6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907642-852f-47a4-beb2-3304f169ad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47bfce6e-1b76-4ad8-a418-d83338899b1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3d83515-661e-4749-94c9-1d271c9dd623" xsi:nil="true"/>
    <lcf76f155ced4ddcb4097134ff3c332f xmlns="aa907642-852f-47a4-beb2-3304f169ad0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FF621E0-62DB-4083-BE53-6834BDF37C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d83515-661e-4749-94c9-1d271c9dd623"/>
    <ds:schemaRef ds:uri="aa907642-852f-47a4-beb2-3304f169ad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13B071-22E7-4885-9A76-B5E0962FE16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0D969C-EB83-4C9B-8DCD-85D934D6ECF0}">
  <ds:schemaRefs>
    <ds:schemaRef ds:uri="http://purl.org/dc/elements/1.1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33d83515-661e-4749-94c9-1d271c9dd623"/>
    <ds:schemaRef ds:uri="http://schemas.microsoft.com/office/2006/metadata/properties"/>
    <ds:schemaRef ds:uri="http://purl.org/dc/dcmitype/"/>
    <ds:schemaRef ds:uri="http://schemas.openxmlformats.org/package/2006/metadata/core-properties"/>
    <ds:schemaRef ds:uri="aa907642-852f-47a4-beb2-3304f169ad0b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6388fff8-b053-4fb1-90cd-f0bc93ae9791}" enabled="1" method="Privileged" siteId="{39b03722-b836-496a-85ec-850f0957ca6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ROI Calculator - Time</vt:lpstr>
      <vt:lpstr>ROI Calculator - Acre (2)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bryan.gran@surepointag.com</dc:creator>
  <cp:keywords/>
  <dc:description/>
  <cp:lastModifiedBy>Rachel Rains</cp:lastModifiedBy>
  <cp:revision/>
  <dcterms:created xsi:type="dcterms:W3CDTF">2025-09-03T13:04:34Z</dcterms:created>
  <dcterms:modified xsi:type="dcterms:W3CDTF">2026-09-18T19:04:49Z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0x010100E21DED3144ECC747B701CF85E9B9FE96</vt:lpwstr>
  </property>
  <property fmtid="{D5CDD505-2E9C-101B-9397-08002B2CF9AE}" pid="3" name="MediaServiceImageTags">
    <vt:lpwstr/>
  </property>
</Properties>
</file>